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<sst xmlns="http://schemas.openxmlformats.org/spreadsheetml/2006/main" count="168" uniqueCount="113">
  <si>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</si>
  <si>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</si>
  <si>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</si>
  <si>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</si>
  <si>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</si>
  <si>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</si>
  <si>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</si>
  <si>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</si>
  <si>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</si>
  <si>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</si>
  <si>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</si>
  <si>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</si>
  <si>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</si>
  <si>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</si>
  <si>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</si>
  <si>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</si>
  <si>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</si>
  <si>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</si>
  <si>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</si>
  <si>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</si>
  <si>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</si>
  <si>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</si>
  <si>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</si>
  <si>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</si>
  <si>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</si>
  <si>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</si>
  <si>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</si>
  <si>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</si>
  <si>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</si>
  <si>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</si>
  <si>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</si>
  <si>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</si>
  <si>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</si>
  <si>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</si>
  <si>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</si>
  <si>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</si>
  <si>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</si>
  <si>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</si>
  <si>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</si>
  <si>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</si>
  <si>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</si>
  <si>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</si>
  <si>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</si>
  <si>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</si>
  <si>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</si>
  <si>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</si>
  <si>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</si>
  <si>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</si>
  <si>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</si>
  <si>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</si>
  <si>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</si>
  <si>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</si>
  <si>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</si>
  <si>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</si>
  <si>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</si>
  <si>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</si>
  <si>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</si>
  <si>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</si>
  <si>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</si>
  <si>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</si>
  <si>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</si>
  <si>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</si>
  <si>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</si>
  <si>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</si>
  <si>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</si>
  <si>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</si>
  <si>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</si>
  <si>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</si>
  <si>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</si>
  <si>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</si>
  <si>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</si>
  <si>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</si>
  <si>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</si>
  <si>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</si>
  <si>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</si>
  <si>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</si>
  <si>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</si>
  <si>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</si>
  <si>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</si>
  <si>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</si>
  <si>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</si>
  <si>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</si>
  <si>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</si>
  <si>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</si>
  <si>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</si>
  <si>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</si>
  <si>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</si>
  <si>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</si>
  <si>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</si>
  <si>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</si>
  <si>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</si>
  <si>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</si>
  <si>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</si>
  <si>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</si>
  <si>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</si>
  <si>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</si>
  <si>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</si>
  <si>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</si>
  <si>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</si>
  <si>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</si>
  <si>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</si>
  <si>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</si>
  <si>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</si>
  <si>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</si>
  <si>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</si>
  <si>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</si>
  <si>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</si>
  <si>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</si>
  <si>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</si>
  <si>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6 місяців, тис.грн.</t>
  </si>
  <si>
    <t>Відсоток виконання  плану 6 місяців</t>
  </si>
  <si>
    <t>План на 6 місяців тис.грн.</t>
  </si>
  <si>
    <t>Аналіз використання коштів загального фонду міського бюджету станом на 18.06.2019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</si>
</sst>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0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96180.2</c:v>
                </c:pt>
              </c:numCache>
            </c:numRef>
          </c:val>
          <c:shape val="box"/>
        </c:ser>
        <c:shape val="box"/>
        <c:axId val="11311325"/>
        <c:axId val="34693062"/>
      </c:bar3DChart>
      <c:catAx>
        <c:axId val="11311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93062"/>
        <c:crosses val="autoZero"/>
        <c:auto val="1"/>
        <c:lblOffset val="100"/>
        <c:tickLblSkip val="1"/>
        <c:noMultiLvlLbl val="0"/>
      </c:catAx>
      <c:valAx>
        <c:axId val="34693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1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3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"/>
          <c:w val="0.843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457154.69999999984</c:v>
                </c:pt>
              </c:numCache>
            </c:numRef>
          </c:val>
          <c:shape val="box"/>
        </c:ser>
        <c:shape val="box"/>
        <c:axId val="43802103"/>
        <c:axId val="58674608"/>
      </c:bar3D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74608"/>
        <c:crosses val="autoZero"/>
        <c:auto val="1"/>
        <c:lblOffset val="100"/>
        <c:tickLblSkip val="1"/>
        <c:noMultiLvlLbl val="0"/>
      </c:catAx>
      <c:valAx>
        <c:axId val="58674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02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075"/>
          <c:w val="0.929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418636.20000000007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183299.03699999987</c:v>
                </c:pt>
              </c:numCache>
            </c:numRef>
          </c:val>
          <c:shape val="box"/>
        </c:ser>
        <c:shape val="box"/>
        <c:axId val="58309425"/>
        <c:axId val="55022778"/>
      </c:bar3DChart>
      <c:catAx>
        <c:axId val="5830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11257.699999999999</c:v>
                </c:pt>
              </c:numCache>
            </c:numRef>
          </c:val>
          <c:shape val="box"/>
        </c:ser>
        <c:shape val="box"/>
        <c:axId val="25442955"/>
        <c:axId val="27660004"/>
      </c:bar3D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19490.5</c:v>
                </c:pt>
              </c:numCache>
            </c:numRef>
          </c:val>
          <c:shape val="box"/>
        </c:ser>
        <c:shape val="box"/>
        <c:axId val="47613445"/>
        <c:axId val="25867822"/>
      </c:bar3D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67822"/>
        <c:crosses val="autoZero"/>
        <c:auto val="1"/>
        <c:lblOffset val="100"/>
        <c:tickLblSkip val="2"/>
        <c:noMultiLvlLbl val="0"/>
      </c:catAx>
      <c:valAx>
        <c:axId val="25867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3"/>
          <c:w val="0.8775"/>
          <c:h val="0.68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1967.5999999999997</c:v>
                </c:pt>
              </c:numCache>
            </c:numRef>
          </c:val>
          <c:shape val="box"/>
        </c:ser>
        <c:shape val="box"/>
        <c:axId val="31483807"/>
        <c:axId val="14918808"/>
      </c:bar3DChart>
      <c:cat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18808"/>
        <c:crosses val="autoZero"/>
        <c:auto val="1"/>
        <c:lblOffset val="100"/>
        <c:tickLblSkip val="1"/>
        <c:noMultiLvlLbl val="0"/>
      </c:catAx>
      <c:valAx>
        <c:axId val="1491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3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75"/>
          <c:w val="0.852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42771.9</c:v>
                </c:pt>
              </c:numCache>
            </c:numRef>
          </c:val>
          <c:shape val="box"/>
        </c:ser>
        <c:shape val="box"/>
        <c:axId val="51545"/>
        <c:axId val="463906"/>
      </c:bar3DChart>
      <c:cat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3906"/>
        <c:crosses val="autoZero"/>
        <c:auto val="1"/>
        <c:lblOffset val="100"/>
        <c:tickLblSkip val="1"/>
        <c:noMultiLvlLbl val="0"/>
      </c:catAx>
      <c:valAx>
        <c:axId val="463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725"/>
          <c:w val="0.85125"/>
          <c:h val="0.5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418636.20000000007</c:v>
                </c:pt>
                <c:pt idx="2">
                  <c:v>26882.8</c:v>
                </c:pt>
                <c:pt idx="3">
                  <c:v>51853.8</c:v>
                </c:pt>
                <c:pt idx="4">
                  <c:v>8853.9</c:v>
                </c:pt>
                <c:pt idx="5">
                  <c:v>209530.8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457154.69999999984</c:v>
                </c:pt>
                <c:pt idx="1">
                  <c:v>183299.03699999987</c:v>
                </c:pt>
                <c:pt idx="2">
                  <c:v>11257.699999999999</c:v>
                </c:pt>
                <c:pt idx="3">
                  <c:v>19490.5</c:v>
                </c:pt>
                <c:pt idx="4">
                  <c:v>1967.5999999999997</c:v>
                </c:pt>
                <c:pt idx="5">
                  <c:v>96180.2</c:v>
                </c:pt>
                <c:pt idx="6">
                  <c:v>42771.9</c:v>
                </c:pt>
              </c:numCache>
            </c:numRef>
          </c:val>
          <c:shape val="box"/>
        </c:ser>
        <c:shape val="box"/>
        <c:axId val="4175155"/>
        <c:axId val="37576396"/>
      </c:bar3DChart>
      <c:cat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4"/>
          <c:w val="0.84125"/>
          <c:h val="0.4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48135.3</c:v>
                </c:pt>
                <c:pt idx="3">
                  <c:v>87651.80000000002</c:v>
                </c:pt>
                <c:pt idx="4">
                  <c:v>122.9</c:v>
                </c:pt>
                <c:pt idx="5">
                  <c:v>1258704.6000000003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487665.60000000003</c:v>
                </c:pt>
                <c:pt idx="1">
                  <c:v>60027.399999999965</c:v>
                </c:pt>
                <c:pt idx="2">
                  <c:v>25240.5</c:v>
                </c:pt>
                <c:pt idx="3">
                  <c:v>32683.90000000001</c:v>
                </c:pt>
                <c:pt idx="4">
                  <c:v>37.099999999999994</c:v>
                </c:pt>
                <c:pt idx="5">
                  <c:v>480816.65678999946</c:v>
                </c:pt>
              </c:numCache>
            </c:numRef>
          </c:val>
          <c:shape val="box"/>
        </c:ser>
        <c:shape val="box"/>
        <c:axId val="2643245"/>
        <c:axId val="23789206"/>
      </c:bar3DChart>
      <c:catAx>
        <c:axId val="264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57" t="s">
        <v>112</v>
      </c>
      <c r="B1" s="157"/>
      <c r="C1" s="157"/>
      <c r="D1" s="157"/>
      <c r="E1" s="157"/>
      <c r="F1" s="157"/>
      <c r="G1" s="157"/>
      <c r="H1" s="157"/>
      <c r="I1" s="15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8" t="s">
        <v>38</v>
      </c>
      <c r="B3" s="161" t="s">
        <v>111</v>
      </c>
      <c r="C3" s="164" t="s">
        <v>103</v>
      </c>
      <c r="D3" s="164" t="s">
        <v>20</v>
      </c>
      <c r="E3" s="164" t="s">
        <v>19</v>
      </c>
      <c r="F3" s="164" t="s">
        <v>110</v>
      </c>
      <c r="G3" s="164" t="s">
        <v>105</v>
      </c>
      <c r="H3" s="164" t="s">
        <v>109</v>
      </c>
      <c r="I3" s="164" t="s">
        <v>104</v>
      </c>
    </row>
    <row r="4" spans="1:9" ht="24.75" customHeight="1">
      <c r="A4" s="159"/>
      <c r="B4" s="162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0"/>
      <c r="B5" s="163"/>
      <c r="C5" s="166"/>
      <c r="D5" s="166"/>
      <c r="E5" s="166"/>
      <c r="F5" s="166"/>
      <c r="G5" s="166"/>
      <c r="H5" s="166"/>
      <c r="I5" s="166"/>
      <c r="J5" s="135"/>
    </row>
    <row r="6" spans="1:12" ht="18.75" thickBot="1">
      <c r="A6" s="18" t="s">
        <v>24</v>
      </c>
      <c r="B6" s="34">
        <f>541968.7+2.3-1603.2</f>
        <v>540367.8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</f>
        <v>457154.69999999984</v>
      </c>
      <c r="E6" s="3">
        <f>D6/D156*100</f>
        <v>42.07702129439611</v>
      </c>
      <c r="F6" s="3">
        <f>D6/B6*100</f>
        <v>84.60065533142422</v>
      </c>
      <c r="G6" s="3">
        <f aca="true" t="shared" si="0" ref="G6:G43">D6/C6*100</f>
        <v>49.58626294040098</v>
      </c>
      <c r="H6" s="36">
        <f aca="true" t="shared" si="1" ref="H6:H12">B6-D6</f>
        <v>83213.10000000021</v>
      </c>
      <c r="I6" s="36">
        <f aca="true" t="shared" si="2" ref="I6:I43">C6-D6</f>
        <v>464783.5000000001</v>
      </c>
      <c r="J6" s="135"/>
      <c r="L6" s="136">
        <f>H6-H7</f>
        <v>71393.20000000019</v>
      </c>
    </row>
    <row r="7" spans="1:9" s="84" customFormat="1" ht="18.75">
      <c r="A7" s="121" t="s">
        <v>79</v>
      </c>
      <c r="B7" s="122">
        <v>184160.2</v>
      </c>
      <c r="C7" s="123">
        <f>298956.2+3.2</f>
        <v>298959.4</v>
      </c>
      <c r="D7" s="124">
        <f>12060.7+9623.1+1044.7+273.5+10510.2+12398.6+40.7+10550.7+12514+8.7+10597.9+12396.7+14.3-11.2+14.3+10532.6+25726.8+2302.2+41728.4+13.4</f>
        <v>172340.3</v>
      </c>
      <c r="E7" s="125">
        <f>D7/D6*100</f>
        <v>37.69846399916703</v>
      </c>
      <c r="F7" s="125">
        <f>D7/B7*100</f>
        <v>93.58172938561098</v>
      </c>
      <c r="G7" s="125">
        <f>D7/C7*100</f>
        <v>57.64672393642748</v>
      </c>
      <c r="H7" s="124">
        <f t="shared" si="1"/>
        <v>11819.900000000023</v>
      </c>
      <c r="I7" s="124">
        <f t="shared" si="2"/>
        <v>126619.10000000003</v>
      </c>
    </row>
    <row r="8" spans="1:9" s="135" customFormat="1" ht="18">
      <c r="A8" s="89" t="s">
        <v>3</v>
      </c>
      <c r="B8" s="108">
        <v>428488.7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</f>
        <v>369866.60000000003</v>
      </c>
      <c r="E8" s="93">
        <f>D8/D6*100</f>
        <v>80.90622277316632</v>
      </c>
      <c r="F8" s="93">
        <f>D8/B8*100</f>
        <v>86.31886908569585</v>
      </c>
      <c r="G8" s="93">
        <f t="shared" si="0"/>
        <v>50.70540201814483</v>
      </c>
      <c r="H8" s="91">
        <f t="shared" si="1"/>
        <v>58622.09999999998</v>
      </c>
      <c r="I8" s="91">
        <f t="shared" si="2"/>
        <v>359575.5999999999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</f>
        <v>37.099999999999994</v>
      </c>
      <c r="E9" s="110">
        <f>D9/D6*100</f>
        <v>0.008115414760036375</v>
      </c>
      <c r="F9" s="93">
        <f>D9/B9*100</f>
        <v>71.76015473887813</v>
      </c>
      <c r="G9" s="93">
        <f t="shared" si="0"/>
        <v>35.36701620591038</v>
      </c>
      <c r="H9" s="91">
        <f t="shared" si="1"/>
        <v>14.600000000000009</v>
      </c>
      <c r="I9" s="91">
        <f t="shared" si="2"/>
        <v>67.80000000000001</v>
      </c>
    </row>
    <row r="10" spans="1:9" s="135" customFormat="1" ht="18">
      <c r="A10" s="89" t="s">
        <v>1</v>
      </c>
      <c r="B10" s="108">
        <v>26304.1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</f>
        <v>23830.2</v>
      </c>
      <c r="E10" s="93">
        <f>D10/D6*100</f>
        <v>5.212721207941208</v>
      </c>
      <c r="F10" s="93">
        <f aca="true" t="shared" si="3" ref="F10:F41">D10/B10*100</f>
        <v>90.59500230002168</v>
      </c>
      <c r="G10" s="93">
        <f t="shared" si="0"/>
        <v>54.857987375632476</v>
      </c>
      <c r="H10" s="91">
        <f t="shared" si="1"/>
        <v>2473.899999999998</v>
      </c>
      <c r="I10" s="91">
        <f t="shared" si="2"/>
        <v>19609.600000000002</v>
      </c>
    </row>
    <row r="11" spans="1:9" s="135" customFormat="1" ht="18">
      <c r="A11" s="89" t="s">
        <v>0</v>
      </c>
      <c r="B11" s="108">
        <f>62292.3-1603.2-1801.7</f>
        <v>58887.40000000001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</f>
        <v>48072.299999999974</v>
      </c>
      <c r="E11" s="93">
        <f>D11/D6*100</f>
        <v>10.515543206708799</v>
      </c>
      <c r="F11" s="93">
        <f t="shared" si="3"/>
        <v>81.63427150799656</v>
      </c>
      <c r="G11" s="93">
        <f t="shared" si="0"/>
        <v>48.92476510722832</v>
      </c>
      <c r="H11" s="91">
        <f t="shared" si="1"/>
        <v>10815.100000000035</v>
      </c>
      <c r="I11" s="91">
        <f t="shared" si="2"/>
        <v>50185.30000000003</v>
      </c>
    </row>
    <row r="12" spans="1:9" s="135" customFormat="1" ht="18">
      <c r="A12" s="89" t="s">
        <v>12</v>
      </c>
      <c r="B12" s="108">
        <f>6807.7+2.3</f>
        <v>6810</v>
      </c>
      <c r="C12" s="109">
        <f>13016.5-27.3-2+2.3</f>
        <v>12989.5</v>
      </c>
      <c r="D12" s="91">
        <f>134.7+863.6+21+169+134.3+503.1+242.3+376.7+419.7+11.5+196.3+194.7+350.5+128.8+306+205.9+21+475.1+46.1+265+1+11.5+502+21</f>
        <v>5600.8</v>
      </c>
      <c r="E12" s="93">
        <f>D12/D6*100</f>
        <v>1.2251432611323918</v>
      </c>
      <c r="F12" s="93">
        <f t="shared" si="3"/>
        <v>82.24375917767989</v>
      </c>
      <c r="G12" s="93">
        <f t="shared" si="0"/>
        <v>43.11790292159052</v>
      </c>
      <c r="H12" s="91">
        <f t="shared" si="1"/>
        <v>1209.1999999999998</v>
      </c>
      <c r="I12" s="91">
        <f t="shared" si="2"/>
        <v>7388.7</v>
      </c>
    </row>
    <row r="13" spans="1:9" s="135" customFormat="1" ht="18.75" thickBot="1">
      <c r="A13" s="89" t="s">
        <v>25</v>
      </c>
      <c r="B13" s="109">
        <f>B6-B8-B9-B10-B11-B12</f>
        <v>19825.900000000038</v>
      </c>
      <c r="C13" s="109">
        <f>C6-C8-C9-C10-C11-C12</f>
        <v>37704.19999999998</v>
      </c>
      <c r="D13" s="109">
        <f>D6-D8-D9-D10-D11-D12</f>
        <v>9747.699999999826</v>
      </c>
      <c r="E13" s="93">
        <f>D13/D6*100</f>
        <v>2.132254136291244</v>
      </c>
      <c r="F13" s="93">
        <f t="shared" si="3"/>
        <v>49.166494333169275</v>
      </c>
      <c r="G13" s="93">
        <f t="shared" si="0"/>
        <v>25.853087984892483</v>
      </c>
      <c r="H13" s="91">
        <f aca="true" t="shared" si="4" ref="H13:H44">B13-D13</f>
        <v>10078.200000000212</v>
      </c>
      <c r="I13" s="91">
        <f t="shared" si="2"/>
        <v>27956.500000000156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220387.9-6554-321.5+680.4</f>
        <v>214192.8</v>
      </c>
      <c r="C18" s="35">
        <f>417020.2+71.9+897.7-0.1-33.9+680.4</f>
        <v>418636.20000000007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</f>
        <v>183299.03699999987</v>
      </c>
      <c r="E18" s="3">
        <f>D18/D156*100</f>
        <v>16.87104492875453</v>
      </c>
      <c r="F18" s="3">
        <f>D18/B18*100</f>
        <v>85.57665663831831</v>
      </c>
      <c r="G18" s="3">
        <f t="shared" si="0"/>
        <v>43.78480336865274</v>
      </c>
      <c r="H18" s="156">
        <f t="shared" si="4"/>
        <v>30893.763000000123</v>
      </c>
      <c r="I18" s="36">
        <f t="shared" si="2"/>
        <v>235337.1630000002</v>
      </c>
      <c r="J18" s="135"/>
      <c r="L18" s="136">
        <f>H18-H19</f>
        <v>26290.200000000128</v>
      </c>
    </row>
    <row r="19" spans="1:9" s="84" customFormat="1" ht="18.75">
      <c r="A19" s="121" t="s">
        <v>80</v>
      </c>
      <c r="B19" s="122">
        <v>102528.2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</f>
        <v>97924.637</v>
      </c>
      <c r="E19" s="125">
        <f>D19/D18*100</f>
        <v>53.423432333689824</v>
      </c>
      <c r="F19" s="125">
        <f t="shared" si="3"/>
        <v>95.5099543345148</v>
      </c>
      <c r="G19" s="125">
        <f t="shared" si="0"/>
        <v>47.685329225992525</v>
      </c>
      <c r="H19" s="124">
        <f t="shared" si="4"/>
        <v>4603.562999999995</v>
      </c>
      <c r="I19" s="124">
        <f t="shared" si="2"/>
        <v>107431.26300000002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454.3</v>
      </c>
      <c r="C24" s="109">
        <v>999.4</v>
      </c>
      <c r="D24" s="91">
        <f>199.2+100.3+88.2</f>
        <v>387.7</v>
      </c>
      <c r="E24" s="93">
        <f>D24/D18*100</f>
        <v>0.21151229507005007</v>
      </c>
      <c r="F24" s="93">
        <f t="shared" si="3"/>
        <v>85.34008364516839</v>
      </c>
      <c r="G24" s="93">
        <f t="shared" si="0"/>
        <v>38.79327596557935</v>
      </c>
      <c r="H24" s="91">
        <f t="shared" si="4"/>
        <v>66.60000000000002</v>
      </c>
      <c r="I24" s="91">
        <f t="shared" si="2"/>
        <v>611.7</v>
      </c>
    </row>
    <row r="25" spans="1:9" s="135" customFormat="1" ht="18.75" thickBot="1">
      <c r="A25" s="89" t="s">
        <v>25</v>
      </c>
      <c r="B25" s="109">
        <f>B18-B24</f>
        <v>213738.5</v>
      </c>
      <c r="C25" s="109">
        <f>C18-C24</f>
        <v>417636.80000000005</v>
      </c>
      <c r="D25" s="109">
        <f>D18-D24</f>
        <v>182911.33699999985</v>
      </c>
      <c r="E25" s="93">
        <f>D25/D18*100</f>
        <v>99.78848770492993</v>
      </c>
      <c r="F25" s="93">
        <f t="shared" si="3"/>
        <v>85.57715947290725</v>
      </c>
      <c r="G25" s="93">
        <f t="shared" si="0"/>
        <v>43.79674803561368</v>
      </c>
      <c r="H25" s="91">
        <f t="shared" si="4"/>
        <v>30827.163000000146</v>
      </c>
      <c r="I25" s="91">
        <f t="shared" si="2"/>
        <v>234725.4630000002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13460.4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</f>
        <v>11257.699999999999</v>
      </c>
      <c r="E33" s="3">
        <f>D33/D156*100</f>
        <v>1.0361710874369732</v>
      </c>
      <c r="F33" s="3">
        <f>D33/B33*100</f>
        <v>83.63570176220617</v>
      </c>
      <c r="G33" s="155">
        <f t="shared" si="0"/>
        <v>41.876962221197196</v>
      </c>
      <c r="H33" s="156">
        <f t="shared" si="4"/>
        <v>2202.7000000000007</v>
      </c>
      <c r="I33" s="36">
        <f t="shared" si="2"/>
        <v>15625.1</v>
      </c>
      <c r="J33" s="135"/>
    </row>
    <row r="34" spans="1:9" s="135" customFormat="1" ht="18">
      <c r="A34" s="89" t="s">
        <v>3</v>
      </c>
      <c r="B34" s="108">
        <f>7160.7-1.8</f>
        <v>7158.9</v>
      </c>
      <c r="C34" s="109">
        <v>14255.8</v>
      </c>
      <c r="D34" s="91">
        <f>95.5+254.3+520.9+145.6+77.4+290.2+14+629.4+494.6+11.4+607.6+26.4+384.9+103.2+27.1+151.5+461.6+16.4+14.3-0.2+100.6+400.5+180.4+615.1+100.6+396.6-0.2</f>
        <v>6119.700000000002</v>
      </c>
      <c r="E34" s="93">
        <f>D34/D33*100</f>
        <v>54.36012684651396</v>
      </c>
      <c r="F34" s="93">
        <f t="shared" si="3"/>
        <v>85.48380337761391</v>
      </c>
      <c r="G34" s="93">
        <f t="shared" si="0"/>
        <v>42.92779079392249</v>
      </c>
      <c r="H34" s="91">
        <f t="shared" si="4"/>
        <v>1039.199999999998</v>
      </c>
      <c r="I34" s="91">
        <f t="shared" si="2"/>
        <v>8136.099999999998</v>
      </c>
    </row>
    <row r="35" spans="1:9" s="135" customFormat="1" ht="18">
      <c r="A35" s="89" t="s">
        <v>1</v>
      </c>
      <c r="B35" s="108">
        <v>54.5</v>
      </c>
      <c r="C35" s="109">
        <v>87.1</v>
      </c>
      <c r="D35" s="91">
        <f>10+2+7.5+3+1.9+26.2+3.9</f>
        <v>54.49999999999999</v>
      </c>
      <c r="E35" s="93">
        <f>D35/D33*100</f>
        <v>0.48411309592545543</v>
      </c>
      <c r="F35" s="93">
        <f t="shared" si="3"/>
        <v>99.99999999999999</v>
      </c>
      <c r="G35" s="93">
        <f t="shared" si="0"/>
        <v>62.57175660160734</v>
      </c>
      <c r="H35" s="91">
        <f t="shared" si="4"/>
        <v>0</v>
      </c>
      <c r="I35" s="91">
        <f t="shared" si="2"/>
        <v>32.6</v>
      </c>
    </row>
    <row r="36" spans="1:9" s="135" customFormat="1" ht="18">
      <c r="A36" s="89" t="s">
        <v>0</v>
      </c>
      <c r="B36" s="108">
        <f>1163+1.8+0.3</f>
        <v>1165.1</v>
      </c>
      <c r="C36" s="109">
        <f>2087.8+0.3</f>
        <v>2088.1000000000004</v>
      </c>
      <c r="D36" s="91">
        <f>1.1+273.8+98.4+76.8+0.5+2.1+0.3+6.6+52.2+342.8+0.4+3.3+12.2+25.8+7.1+2.1+70+0.1</f>
        <v>975.6000000000001</v>
      </c>
      <c r="E36" s="93">
        <f>D36/D33*100</f>
        <v>8.666068557520633</v>
      </c>
      <c r="F36" s="93">
        <f t="shared" si="3"/>
        <v>83.73530169084201</v>
      </c>
      <c r="G36" s="93">
        <f t="shared" si="0"/>
        <v>46.7219002921316</v>
      </c>
      <c r="H36" s="91">
        <f t="shared" si="4"/>
        <v>189.49999999999977</v>
      </c>
      <c r="I36" s="91">
        <f t="shared" si="2"/>
        <v>1112.5000000000002</v>
      </c>
    </row>
    <row r="37" spans="1:9" s="84" customFormat="1" ht="18.75">
      <c r="A37" s="149" t="s">
        <v>7</v>
      </c>
      <c r="B37" s="119">
        <v>352.7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2.2144843085177257</v>
      </c>
      <c r="F37" s="96">
        <f t="shared" si="3"/>
        <v>70.68330025517437</v>
      </c>
      <c r="G37" s="96">
        <f t="shared" si="0"/>
        <v>23.02789580639202</v>
      </c>
      <c r="H37" s="87">
        <f t="shared" si="4"/>
        <v>103.39999999999998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0.45302326407703175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4615.7</v>
      </c>
      <c r="C39" s="108">
        <f>C33-C34-C36-C37-C35-C38</f>
        <v>9164.699999999999</v>
      </c>
      <c r="D39" s="108">
        <f>D33-D34-D36-D37-D35-D38</f>
        <v>3807.5999999999967</v>
      </c>
      <c r="E39" s="93">
        <f>D39/D33*100</f>
        <v>33.82218392744519</v>
      </c>
      <c r="F39" s="93">
        <f t="shared" si="3"/>
        <v>82.4923630218601</v>
      </c>
      <c r="G39" s="93">
        <f t="shared" si="0"/>
        <v>41.54636812988966</v>
      </c>
      <c r="H39" s="91">
        <f t="shared" si="4"/>
        <v>808.1000000000031</v>
      </c>
      <c r="I39" s="91">
        <f t="shared" si="2"/>
        <v>5357.100000000002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485</v>
      </c>
      <c r="C43" s="35">
        <f>955.1+25</f>
        <v>980.1</v>
      </c>
      <c r="D43" s="36">
        <f>18+9.7+7.2+11.6+18.4+18.7+25.1+13.5+2.2+2+16.6+22.9+12+21+7.7+15.6+10+15+10+0.1+10.1+18.6+9+50.3+7+2+8+16.2+27.7+2+2+2</f>
        <v>412.2000000000001</v>
      </c>
      <c r="E43" s="3">
        <f>D43/D156*100</f>
        <v>0.03793934127233098</v>
      </c>
      <c r="F43" s="3">
        <f>D43/B43*100</f>
        <v>84.98969072164951</v>
      </c>
      <c r="G43" s="3">
        <f t="shared" si="0"/>
        <v>42.056932966023886</v>
      </c>
      <c r="H43" s="156">
        <f t="shared" si="4"/>
        <v>72.7999999999999</v>
      </c>
      <c r="I43" s="36">
        <f t="shared" si="2"/>
        <v>567.8999999999999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8391+33.6</f>
        <v>8424.6</v>
      </c>
      <c r="C46" s="35">
        <f>16742.1+33.6</f>
        <v>16775.699999999997</v>
      </c>
      <c r="D46" s="36">
        <f>346.4+682.6-0.1+14.1+556.7+0.1+721.1+127.1+71.4+15.4+390.3+13.9+56.1+905.8+4.8+61.3+2.9+439.8+0.3+42+847.9+8.3+402.3+0.1+20.1+0.2+4.4+30.8+63.8+859.4+10.5+475.1</f>
        <v>7174.9000000000015</v>
      </c>
      <c r="E46" s="3">
        <f>D46/D156*100</f>
        <v>0.6603856858196204</v>
      </c>
      <c r="F46" s="3">
        <f>D46/B46*100</f>
        <v>85.16606129667879</v>
      </c>
      <c r="G46" s="3">
        <f aca="true" t="shared" si="5" ref="G46:G78">D46/C46*100</f>
        <v>42.769601268501475</v>
      </c>
      <c r="H46" s="36">
        <f>B46-D46</f>
        <v>1249.699999999999</v>
      </c>
      <c r="I46" s="36">
        <f aca="true" t="shared" si="6" ref="I46:I79">C46-D46</f>
        <v>9600.799999999996</v>
      </c>
      <c r="J46" s="135"/>
      <c r="K46" s="135"/>
    </row>
    <row r="47" spans="1:9" s="135" customFormat="1" ht="18">
      <c r="A47" s="89" t="s">
        <v>3</v>
      </c>
      <c r="B47" s="108">
        <v>7465.4</v>
      </c>
      <c r="C47" s="109">
        <v>15270.9</v>
      </c>
      <c r="D47" s="91">
        <f>332.5+633.1+14.1+510.1+691.2+14.1+377.2-0.1+896.5+425+839.9+7+383.6+0.2+7+859.2+449.3</f>
        <v>6439.9</v>
      </c>
      <c r="E47" s="93">
        <f>D47/D46*100</f>
        <v>89.75595478682628</v>
      </c>
      <c r="F47" s="93">
        <f aca="true" t="shared" si="7" ref="F47:F76">D47/B47*100</f>
        <v>86.26329466605942</v>
      </c>
      <c r="G47" s="93">
        <f t="shared" si="5"/>
        <v>42.17105737055446</v>
      </c>
      <c r="H47" s="91">
        <f aca="true" t="shared" si="8" ref="H47:H76">B47-D47</f>
        <v>1025.5</v>
      </c>
      <c r="I47" s="91">
        <f t="shared" si="6"/>
        <v>8831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v>53.1</v>
      </c>
      <c r="C49" s="109">
        <v>106.3</v>
      </c>
      <c r="D49" s="91">
        <f>8.3+10.5+10.2+9.5+10.6</f>
        <v>49.1</v>
      </c>
      <c r="E49" s="93">
        <f>D49/D46*100</f>
        <v>0.6843300951929643</v>
      </c>
      <c r="F49" s="93">
        <f t="shared" si="7"/>
        <v>92.46704331450094</v>
      </c>
      <c r="G49" s="93">
        <f t="shared" si="5"/>
        <v>46.190028222013176</v>
      </c>
      <c r="H49" s="91">
        <f t="shared" si="8"/>
        <v>4</v>
      </c>
      <c r="I49" s="91">
        <f t="shared" si="6"/>
        <v>57.199999999999996</v>
      </c>
    </row>
    <row r="50" spans="1:9" s="135" customFormat="1" ht="18">
      <c r="A50" s="89" t="s">
        <v>0</v>
      </c>
      <c r="B50" s="108">
        <v>697.5</v>
      </c>
      <c r="C50" s="109">
        <v>998.4</v>
      </c>
      <c r="D50" s="91">
        <f>13.9+43.7+37.9+3.3+112.6+65.7+2.1+15.6+56.1+2.7+37.7+0.1+42+5.3+1.3+11.6+20.1+0.2+56.8+3.9</f>
        <v>532.6</v>
      </c>
      <c r="E50" s="93">
        <f>D50/D46*100</f>
        <v>7.423099973518793</v>
      </c>
      <c r="F50" s="93">
        <f t="shared" si="7"/>
        <v>76.3584229390681</v>
      </c>
      <c r="G50" s="93">
        <f t="shared" si="5"/>
        <v>53.34535256410257</v>
      </c>
      <c r="H50" s="91">
        <f t="shared" si="8"/>
        <v>164.89999999999998</v>
      </c>
      <c r="I50" s="91">
        <f t="shared" si="6"/>
        <v>465.79999999999995</v>
      </c>
    </row>
    <row r="51" spans="1:9" s="135" customFormat="1" ht="18.75" thickBot="1">
      <c r="A51" s="89" t="s">
        <v>25</v>
      </c>
      <c r="B51" s="109">
        <f>B46-B47-B50-B49-B48</f>
        <v>207.70000000000073</v>
      </c>
      <c r="C51" s="109">
        <f>C46-C47-C50-C49-C48</f>
        <v>398.49999999999744</v>
      </c>
      <c r="D51" s="109">
        <f>D46-D47-D50-D49-D48</f>
        <v>153.3000000000018</v>
      </c>
      <c r="E51" s="93">
        <f>D51/D46*100</f>
        <v>2.1366151444619685</v>
      </c>
      <c r="F51" s="93">
        <f t="shared" si="7"/>
        <v>73.80837746750181</v>
      </c>
      <c r="G51" s="93">
        <f t="shared" si="5"/>
        <v>38.469259723965564</v>
      </c>
      <c r="H51" s="91">
        <f t="shared" si="8"/>
        <v>54.399999999998926</v>
      </c>
      <c r="I51" s="91">
        <f t="shared" si="6"/>
        <v>245.19999999999564</v>
      </c>
    </row>
    <row r="52" spans="1:10" ht="18.75" thickBot="1">
      <c r="A52" s="18" t="s">
        <v>4</v>
      </c>
      <c r="B52" s="34">
        <f>28801.3-917.2</f>
        <v>27884.1</v>
      </c>
      <c r="C52" s="35">
        <f>54626.8-33-1640-1100</f>
        <v>51853.8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</f>
        <v>19490.5</v>
      </c>
      <c r="E52" s="3">
        <f>D52/D156*100</f>
        <v>1.7939270525676052</v>
      </c>
      <c r="F52" s="3">
        <f>D52/B52*100</f>
        <v>69.89825742986146</v>
      </c>
      <c r="G52" s="3">
        <f t="shared" si="5"/>
        <v>37.58740921591089</v>
      </c>
      <c r="H52" s="36">
        <f>B52-D52</f>
        <v>8393.599999999999</v>
      </c>
      <c r="I52" s="36">
        <f t="shared" si="6"/>
        <v>32363.300000000003</v>
      </c>
      <c r="J52" s="135"/>
    </row>
    <row r="53" spans="1:9" s="135" customFormat="1" ht="18">
      <c r="A53" s="89" t="s">
        <v>3</v>
      </c>
      <c r="B53" s="108">
        <f>14336.3-4.5</f>
        <v>14331.8</v>
      </c>
      <c r="C53" s="109">
        <v>25959.9</v>
      </c>
      <c r="D53" s="91">
        <f>721.7+980.4+865.2+984.4+270.7+792.3+9.9+66.7+1210.9+835.2+313.7+945.1+17.3+739.5+1432.2+7.4+1036.6-0.2</f>
        <v>11229</v>
      </c>
      <c r="E53" s="93">
        <f>D53/D52*100</f>
        <v>57.612683102024064</v>
      </c>
      <c r="F53" s="93">
        <f t="shared" si="7"/>
        <v>78.35024211892436</v>
      </c>
      <c r="G53" s="93">
        <f t="shared" si="5"/>
        <v>43.255174326557494</v>
      </c>
      <c r="H53" s="91">
        <f t="shared" si="8"/>
        <v>3102.7999999999993</v>
      </c>
      <c r="I53" s="91">
        <f t="shared" si="6"/>
        <v>14730.900000000001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2150.9</v>
      </c>
      <c r="C55" s="109">
        <f>4332.1-250</f>
        <v>4082.1000000000004</v>
      </c>
      <c r="D55" s="91">
        <f>3.2+7.6+9.6+11.4+10.1+24.7+6.6+7.8+2.3+6.6+70.1+102.1+3.2+185.8+105+116.2+245+84+7.3+8.9+0.2+110.8+122.9-0.1+5.4+43.7+5.9+0.4</f>
        <v>1306.7000000000005</v>
      </c>
      <c r="E55" s="93">
        <f>D55/D52*100</f>
        <v>6.704291834483469</v>
      </c>
      <c r="F55" s="93">
        <f t="shared" si="7"/>
        <v>60.7513134036915</v>
      </c>
      <c r="G55" s="93">
        <f t="shared" si="5"/>
        <v>32.01048479949047</v>
      </c>
      <c r="H55" s="91">
        <f t="shared" si="8"/>
        <v>844.1999999999996</v>
      </c>
      <c r="I55" s="91">
        <f t="shared" si="6"/>
        <v>2775.3999999999996</v>
      </c>
    </row>
    <row r="56" spans="1:9" s="135" customFormat="1" ht="18">
      <c r="A56" s="89" t="s">
        <v>0</v>
      </c>
      <c r="B56" s="108">
        <f>769.3+4.5</f>
        <v>773.8</v>
      </c>
      <c r="C56" s="109">
        <f>1406.6+3.9+1</f>
        <v>1411.5</v>
      </c>
      <c r="D56" s="91">
        <f>0.3+1.2+21.4+80.5+2.4+14.5+22.9+268+5.9+0.1+8.8+0.5+18.5+22.5+0.1+5.1+69.1+23+1.1+16.4+1+37.3+17.3+14.3+2.9+3.7+0.1</f>
        <v>658.9</v>
      </c>
      <c r="E56" s="93">
        <f>D56/D52*100</f>
        <v>3.3806213283394477</v>
      </c>
      <c r="F56" s="93">
        <f t="shared" si="7"/>
        <v>85.15120186094597</v>
      </c>
      <c r="G56" s="93">
        <f t="shared" si="5"/>
        <v>46.68083599008147</v>
      </c>
      <c r="H56" s="91">
        <f t="shared" si="8"/>
        <v>114.89999999999998</v>
      </c>
      <c r="I56" s="91">
        <f t="shared" si="6"/>
        <v>752.6</v>
      </c>
    </row>
    <row r="57" spans="1:9" s="135" customFormat="1" ht="18">
      <c r="A57" s="89" t="s">
        <v>12</v>
      </c>
      <c r="B57" s="108">
        <v>1832</v>
      </c>
      <c r="C57" s="109">
        <f>4640-960</f>
        <v>3680</v>
      </c>
      <c r="D57" s="109">
        <f>227+242+245+245</f>
        <v>959</v>
      </c>
      <c r="E57" s="93">
        <f>D57/D52*100</f>
        <v>4.920345809496935</v>
      </c>
      <c r="F57" s="93">
        <f>D57/B57*100</f>
        <v>52.3471615720524</v>
      </c>
      <c r="G57" s="93">
        <f>D57/C57*100</f>
        <v>26.059782608695652</v>
      </c>
      <c r="H57" s="91">
        <f t="shared" si="8"/>
        <v>873</v>
      </c>
      <c r="I57" s="91">
        <f t="shared" si="6"/>
        <v>2721</v>
      </c>
    </row>
    <row r="58" spans="1:9" s="135" customFormat="1" ht="18.75" thickBot="1">
      <c r="A58" s="89" t="s">
        <v>25</v>
      </c>
      <c r="B58" s="109">
        <f>B52-B53-B56-B55-B54-B57</f>
        <v>8795.6</v>
      </c>
      <c r="C58" s="109">
        <f>C52-C53-C56-C55-C54-C57</f>
        <v>16703.9</v>
      </c>
      <c r="D58" s="109">
        <f>D52-D53-D56-D55-D54-D57</f>
        <v>5336.9</v>
      </c>
      <c r="E58" s="93">
        <f>D58/D52*100</f>
        <v>27.38205792565609</v>
      </c>
      <c r="F58" s="93">
        <f t="shared" si="7"/>
        <v>60.67692937377779</v>
      </c>
      <c r="G58" s="93">
        <f t="shared" si="5"/>
        <v>31.95002364717221</v>
      </c>
      <c r="H58" s="91">
        <f>B58-D58</f>
        <v>3458.7000000000007</v>
      </c>
      <c r="I58" s="91">
        <f>C58-D58</f>
        <v>11367.000000000002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4769.1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</f>
        <v>1967.5999999999997</v>
      </c>
      <c r="E60" s="3">
        <f>D60/D156*100</f>
        <v>0.181100067655115</v>
      </c>
      <c r="F60" s="3">
        <f>D60/B60*100</f>
        <v>41.257260279717336</v>
      </c>
      <c r="G60" s="3">
        <f t="shared" si="5"/>
        <v>22.22297518607619</v>
      </c>
      <c r="H60" s="36">
        <f>B60-D60</f>
        <v>2801.500000000001</v>
      </c>
      <c r="I60" s="36">
        <f t="shared" si="6"/>
        <v>6886.3</v>
      </c>
      <c r="J60" s="135"/>
    </row>
    <row r="61" spans="1:9" s="135" customFormat="1" ht="18">
      <c r="A61" s="89" t="s">
        <v>3</v>
      </c>
      <c r="B61" s="108">
        <v>1825.8</v>
      </c>
      <c r="C61" s="109">
        <v>3626.9</v>
      </c>
      <c r="D61" s="91">
        <f>80.6+106+88.7+4.1+50.7+38.1+180.6+95.6+203.1+54.2+59.8+86.2+109.7+0.1+49.5+34.4+208.9+102</f>
        <v>1552.3000000000002</v>
      </c>
      <c r="E61" s="93">
        <f>D61/D60*100</f>
        <v>78.89306769668633</v>
      </c>
      <c r="F61" s="93">
        <f t="shared" si="7"/>
        <v>85.02026508927595</v>
      </c>
      <c r="G61" s="93">
        <f t="shared" si="5"/>
        <v>42.79963605282749</v>
      </c>
      <c r="H61" s="91">
        <f t="shared" si="8"/>
        <v>273.4999999999998</v>
      </c>
      <c r="I61" s="91">
        <f t="shared" si="6"/>
        <v>2074.6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v>315.5</v>
      </c>
      <c r="C63" s="109">
        <v>475.3</v>
      </c>
      <c r="D63" s="91">
        <f>9.6+44+118.7+0.1+30.8+0.2+16.8+0.1+13.9+3.1+7+0.8</f>
        <v>245.10000000000002</v>
      </c>
      <c r="E63" s="93">
        <f>D63/D60*100</f>
        <v>12.456800162634686</v>
      </c>
      <c r="F63" s="93">
        <f t="shared" si="7"/>
        <v>77.68621236133123</v>
      </c>
      <c r="G63" s="93">
        <f t="shared" si="5"/>
        <v>51.567431096149804</v>
      </c>
      <c r="H63" s="91">
        <f t="shared" si="8"/>
        <v>70.39999999999998</v>
      </c>
      <c r="I63" s="91">
        <f t="shared" si="6"/>
        <v>230.2</v>
      </c>
    </row>
    <row r="64" spans="1:9" s="135" customFormat="1" ht="18">
      <c r="A64" s="89" t="s">
        <v>12</v>
      </c>
      <c r="B64" s="108">
        <v>1713.7</v>
      </c>
      <c r="C64" s="109">
        <f>4848.7-1414.6</f>
        <v>3434.1</v>
      </c>
      <c r="D64" s="91"/>
      <c r="E64" s="93">
        <f>D64/D60*100</f>
        <v>0</v>
      </c>
      <c r="F64" s="93">
        <f t="shared" si="7"/>
        <v>0</v>
      </c>
      <c r="G64" s="93">
        <f t="shared" si="5"/>
        <v>0</v>
      </c>
      <c r="H64" s="91">
        <f t="shared" si="8"/>
        <v>1713.7</v>
      </c>
      <c r="I64" s="91">
        <f t="shared" si="6"/>
        <v>3434.1</v>
      </c>
    </row>
    <row r="65" spans="1:9" s="135" customFormat="1" ht="18.75" thickBot="1">
      <c r="A65" s="89" t="s">
        <v>25</v>
      </c>
      <c r="B65" s="109">
        <f>B60-B61-B63-B64-B62</f>
        <v>494.10000000000014</v>
      </c>
      <c r="C65" s="109">
        <f>C60-C61-C63-C64-C62</f>
        <v>897.5999999999999</v>
      </c>
      <c r="D65" s="109">
        <f>D60-D61-D63-D64-D62</f>
        <v>170.19999999999948</v>
      </c>
      <c r="E65" s="93">
        <f>D65/D60*100</f>
        <v>8.650132140678975</v>
      </c>
      <c r="F65" s="93">
        <f t="shared" si="7"/>
        <v>34.44646832624963</v>
      </c>
      <c r="G65" s="93">
        <f t="shared" si="5"/>
        <v>18.96167557932258</v>
      </c>
      <c r="H65" s="91">
        <f t="shared" si="8"/>
        <v>323.90000000000066</v>
      </c>
      <c r="I65" s="91">
        <f t="shared" si="6"/>
        <v>727.4000000000004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282.5</v>
      </c>
      <c r="C70" s="35">
        <f>C71+C72</f>
        <v>429.6</v>
      </c>
      <c r="D70" s="36">
        <f>D71+D72</f>
        <v>198.4</v>
      </c>
      <c r="E70" s="27">
        <f>D70/D156*100</f>
        <v>0.01826095416892398</v>
      </c>
      <c r="F70" s="3">
        <f>D70/B70*100</f>
        <v>70.23008849557523</v>
      </c>
      <c r="G70" s="3">
        <f t="shared" si="5"/>
        <v>46.18249534450652</v>
      </c>
      <c r="H70" s="36">
        <f>B70-D70</f>
        <v>84.1</v>
      </c>
      <c r="I70" s="36">
        <f t="shared" si="6"/>
        <v>231.20000000000002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84.32459677419355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f>108.7-43.5</f>
        <v>65.2</v>
      </c>
      <c r="C72" s="109">
        <f>396.5-65.8-22.7-7.6-44.6-43.5</f>
        <v>212.29999999999998</v>
      </c>
      <c r="D72" s="91">
        <f>0.6+6.4+23.4+0.7</f>
        <v>31.099999999999998</v>
      </c>
      <c r="E72" s="93">
        <f>D72/D71*100</f>
        <v>18.589360430364614</v>
      </c>
      <c r="F72" s="93">
        <f t="shared" si="7"/>
        <v>47.69938650306748</v>
      </c>
      <c r="G72" s="93">
        <f t="shared" si="5"/>
        <v>14.649081488459728</v>
      </c>
      <c r="H72" s="91">
        <f t="shared" si="8"/>
        <v>34.10000000000001</v>
      </c>
      <c r="I72" s="91">
        <f t="shared" si="6"/>
        <v>181.2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65</v>
      </c>
      <c r="C79" s="49">
        <f>10000-9900</f>
        <v>100</v>
      </c>
      <c r="D79" s="50"/>
      <c r="E79" s="30"/>
      <c r="F79" s="30"/>
      <c r="G79" s="30"/>
      <c r="H79" s="50">
        <f>B79-D79</f>
        <v>65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112675.7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</f>
        <v>96180.2</v>
      </c>
      <c r="E92" s="3">
        <f>D92/D156*100</f>
        <v>8.85253137176382</v>
      </c>
      <c r="F92" s="3">
        <f aca="true" t="shared" si="11" ref="F92:F98">D92/B92*100</f>
        <v>85.36019745162444</v>
      </c>
      <c r="G92" s="3">
        <f t="shared" si="9"/>
        <v>45.902654884150685</v>
      </c>
      <c r="H92" s="36">
        <f aca="true" t="shared" si="12" ref="H92:H98">B92-D92</f>
        <v>16495.5</v>
      </c>
      <c r="I92" s="36">
        <f t="shared" si="10"/>
        <v>113350.59999999999</v>
      </c>
      <c r="J92" s="135"/>
    </row>
    <row r="93" spans="1:9" s="135" customFormat="1" ht="21.75" customHeight="1">
      <c r="A93" s="89" t="s">
        <v>3</v>
      </c>
      <c r="B93" s="108">
        <v>106130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</f>
        <v>91207.79999999996</v>
      </c>
      <c r="E93" s="93">
        <f>D93/D92*100</f>
        <v>94.83012096044712</v>
      </c>
      <c r="F93" s="93">
        <f t="shared" si="11"/>
        <v>85.93969659851122</v>
      </c>
      <c r="G93" s="93">
        <f t="shared" si="9"/>
        <v>46.42582276625373</v>
      </c>
      <c r="H93" s="91">
        <f t="shared" si="12"/>
        <v>14922.20000000004</v>
      </c>
      <c r="I93" s="91">
        <f t="shared" si="10"/>
        <v>105251.40000000005</v>
      </c>
    </row>
    <row r="94" spans="1:9" s="135" customFormat="1" ht="18">
      <c r="A94" s="89" t="s">
        <v>23</v>
      </c>
      <c r="B94" s="108">
        <f>1302.5-30</f>
        <v>1272.5</v>
      </c>
      <c r="C94" s="109">
        <v>2704.7</v>
      </c>
      <c r="D94" s="91">
        <f>10+5.9+981.6+112.5+3.5+4.3+3+9.2+59.4+52.3+6.5</f>
        <v>1248.2</v>
      </c>
      <c r="E94" s="93">
        <f>D94/D92*100</f>
        <v>1.2977723065662166</v>
      </c>
      <c r="F94" s="93">
        <f t="shared" si="11"/>
        <v>98.09037328094303</v>
      </c>
      <c r="G94" s="93">
        <f t="shared" si="9"/>
        <v>46.149295670499505</v>
      </c>
      <c r="H94" s="91">
        <f t="shared" si="12"/>
        <v>24.299999999999955</v>
      </c>
      <c r="I94" s="91">
        <f t="shared" si="10"/>
        <v>1456.4999999999998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5273.199999999997</v>
      </c>
      <c r="C96" s="109">
        <f>C92-C93-C94-C95</f>
        <v>10366.899999999976</v>
      </c>
      <c r="D96" s="109">
        <f>D92-D93-D94-D95</f>
        <v>3724.200000000038</v>
      </c>
      <c r="E96" s="93">
        <f>D96/D92*100</f>
        <v>3.8721067329866625</v>
      </c>
      <c r="F96" s="93">
        <f t="shared" si="11"/>
        <v>70.62504740954336</v>
      </c>
      <c r="G96" s="93">
        <f>D96/C96*100</f>
        <v>35.92395026478549</v>
      </c>
      <c r="H96" s="91">
        <f t="shared" si="12"/>
        <v>1548.999999999959</v>
      </c>
      <c r="I96" s="91">
        <f>C96-D96</f>
        <v>6642.699999999938</v>
      </c>
    </row>
    <row r="97" spans="1:10" ht="18.75">
      <c r="A97" s="75" t="s">
        <v>10</v>
      </c>
      <c r="B97" s="83">
        <f>48626.7-140-760</f>
        <v>47726.7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</f>
        <v>42771.9</v>
      </c>
      <c r="E97" s="74">
        <f>D97/D156*100</f>
        <v>3.936772709767135</v>
      </c>
      <c r="F97" s="76">
        <f t="shared" si="11"/>
        <v>89.61838970639077</v>
      </c>
      <c r="G97" s="73">
        <f>D97/C97*100</f>
        <v>32.01990431137805</v>
      </c>
      <c r="H97" s="77">
        <f t="shared" si="12"/>
        <v>4954.799999999996</v>
      </c>
      <c r="I97" s="79">
        <f>C97-D97</f>
        <v>90807.20000000001</v>
      </c>
      <c r="J97" s="135"/>
    </row>
    <row r="98" spans="1:9" s="135" customFormat="1" ht="18.75" thickBot="1">
      <c r="A98" s="111" t="s">
        <v>81</v>
      </c>
      <c r="B98" s="112">
        <f>7448.2+60</f>
        <v>7508.2</v>
      </c>
      <c r="C98" s="113">
        <v>16376.6</v>
      </c>
      <c r="D98" s="114">
        <f>101+2.6+598.7+1.6+2603.8+3.8+0.7+1149.5+2.1+129.3+1033.7+0.3+164.7+461.5+907.4+167.5+105.4</f>
        <v>7433.6</v>
      </c>
      <c r="E98" s="115">
        <f>D98/D97*100</f>
        <v>17.379634760204716</v>
      </c>
      <c r="F98" s="116">
        <f t="shared" si="11"/>
        <v>99.00641964785169</v>
      </c>
      <c r="G98" s="117">
        <f>D98/C98*100</f>
        <v>45.391595325036945</v>
      </c>
      <c r="H98" s="118">
        <f t="shared" si="12"/>
        <v>74.59999999999945</v>
      </c>
      <c r="I98" s="107">
        <f>C98-D98</f>
        <v>8943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35431.1+7.6</f>
        <v>35438.7</v>
      </c>
      <c r="C104" s="65">
        <f>73778+7.6+15.1-60.1+7.6-42.3+7.6</f>
        <v>73713.50000000001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</f>
        <v>27846.400000000005</v>
      </c>
      <c r="E104" s="16">
        <f>D104/D156*100</f>
        <v>2.563013277064137</v>
      </c>
      <c r="F104" s="16">
        <f>D104/B104*100</f>
        <v>78.5762457426486</v>
      </c>
      <c r="G104" s="16">
        <f aca="true" t="shared" si="13" ref="G104:G154">D104/C104*100</f>
        <v>37.77652668778446</v>
      </c>
      <c r="H104" s="61">
        <f aca="true" t="shared" si="14" ref="H104:H154">B104-D104</f>
        <v>7592.299999999992</v>
      </c>
      <c r="I104" s="61">
        <f aca="true" t="shared" si="15" ref="I104:I154">C104-D104</f>
        <v>45867.100000000006</v>
      </c>
      <c r="J104" s="84"/>
    </row>
    <row r="105" spans="1:9" s="135" customFormat="1" ht="18.75" customHeight="1">
      <c r="A105" s="89" t="s">
        <v>3</v>
      </c>
      <c r="B105" s="100">
        <v>217.5</v>
      </c>
      <c r="C105" s="101">
        <v>543.6</v>
      </c>
      <c r="D105" s="101">
        <f>19.3+40.4+6+27</f>
        <v>92.7</v>
      </c>
      <c r="E105" s="102">
        <f>D105/D104*100</f>
        <v>0.3328976097448862</v>
      </c>
      <c r="F105" s="93">
        <f>D105/B105*100</f>
        <v>42.62068965517242</v>
      </c>
      <c r="G105" s="102">
        <f>D105/C105*100</f>
        <v>17.052980132450333</v>
      </c>
      <c r="H105" s="101">
        <f t="shared" si="14"/>
        <v>124.8</v>
      </c>
      <c r="I105" s="101">
        <f t="shared" si="15"/>
        <v>450.90000000000003</v>
      </c>
    </row>
    <row r="106" spans="1:9" s="135" customFormat="1" ht="18">
      <c r="A106" s="103" t="s">
        <v>46</v>
      </c>
      <c r="B106" s="90">
        <f>31628.3+7.6</f>
        <v>31635.899999999998</v>
      </c>
      <c r="C106" s="91">
        <f>65554.9+7.6+15.1-60.1+45.6-3+37.7+7.6</f>
        <v>65605.40000000001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</f>
        <v>25573.10000000001</v>
      </c>
      <c r="E106" s="93">
        <f>D106/D104*100</f>
        <v>91.83628763502645</v>
      </c>
      <c r="F106" s="93">
        <f aca="true" t="shared" si="16" ref="F106:F154">D106/B106*100</f>
        <v>80.83569615531725</v>
      </c>
      <c r="G106" s="93">
        <f t="shared" si="13"/>
        <v>38.98017541238985</v>
      </c>
      <c r="H106" s="91">
        <f t="shared" si="14"/>
        <v>6062.799999999988</v>
      </c>
      <c r="I106" s="91">
        <f t="shared" si="15"/>
        <v>40032.3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3585.2999999999993</v>
      </c>
      <c r="C108" s="105">
        <f>C104-C105-C106</f>
        <v>7564.5</v>
      </c>
      <c r="D108" s="105">
        <f>D104-D105-D106</f>
        <v>2180.599999999995</v>
      </c>
      <c r="E108" s="106">
        <f>D108/D104*100</f>
        <v>7.830814755228663</v>
      </c>
      <c r="F108" s="106">
        <f t="shared" si="16"/>
        <v>60.820572894876165</v>
      </c>
      <c r="G108" s="106">
        <f t="shared" si="13"/>
        <v>28.826756560248462</v>
      </c>
      <c r="H108" s="107">
        <f t="shared" si="14"/>
        <v>1404.7000000000044</v>
      </c>
      <c r="I108" s="107">
        <f t="shared" si="15"/>
        <v>5383.900000000005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251910.09999999998</v>
      </c>
      <c r="C109" s="63">
        <f>SUM(C110:C153)-C117-C122+C154-C144-C145-C111-C114-C125-C126-C142-C135-C133-C140-C120</f>
        <v>644708.8</v>
      </c>
      <c r="D109" s="63">
        <f>SUM(D110:D153)-D117-D122+D154-D144-D145-D111-D114-D125-D126-D142-D135-D133-D140-D120</f>
        <v>238717.61978999997</v>
      </c>
      <c r="E109" s="64">
        <f>D109/D156*100</f>
        <v>21.971832229333717</v>
      </c>
      <c r="F109" s="64">
        <f>D109/B109*100</f>
        <v>94.7630205339127</v>
      </c>
      <c r="G109" s="64">
        <f t="shared" si="13"/>
        <v>37.027200464767965</v>
      </c>
      <c r="H109" s="63">
        <f t="shared" si="14"/>
        <v>13192.480210000009</v>
      </c>
      <c r="I109" s="63">
        <f t="shared" si="15"/>
        <v>405991.1802100001</v>
      </c>
      <c r="J109" s="97"/>
    </row>
    <row r="110" spans="1:9" s="135" customFormat="1" ht="37.5">
      <c r="A110" s="150" t="s">
        <v>50</v>
      </c>
      <c r="B110" s="151">
        <v>2487.2</v>
      </c>
      <c r="C110" s="131">
        <v>4983.7</v>
      </c>
      <c r="D110" s="85">
        <f>1.8+140.5+138.5+0.9+33+80.9+13.3+0.1+53.3+109+1.4+124.9+19.8+24.9+9+3.6+91.3+61.8+18.7+59+14.7+34.7+0.1+2.2+3.8+2.1+129.5+15.3+0.5-0.3+15.6+0.9+145.2+1.4+33.8+73</f>
        <v>1458.1999999999998</v>
      </c>
      <c r="E110" s="86">
        <f>D110/D109*100</f>
        <v>0.6108472434011277</v>
      </c>
      <c r="F110" s="86">
        <f t="shared" si="16"/>
        <v>58.62817626246382</v>
      </c>
      <c r="G110" s="86">
        <f t="shared" si="13"/>
        <v>29.259385597046368</v>
      </c>
      <c r="H110" s="87">
        <f t="shared" si="14"/>
        <v>1029</v>
      </c>
      <c r="I110" s="87">
        <f t="shared" si="15"/>
        <v>3525.5</v>
      </c>
    </row>
    <row r="111" spans="1:9" s="135" customFormat="1" ht="18">
      <c r="A111" s="89" t="s">
        <v>23</v>
      </c>
      <c r="B111" s="90">
        <v>1160.2</v>
      </c>
      <c r="C111" s="91">
        <v>2332.2</v>
      </c>
      <c r="D111" s="92">
        <f>2.4+138.5+0.9+33.1+80.9+53.3+1.8+1.1+124.9+24.9+6.2+38.5+59+14.7+33.9+0.6+2.3+35.5</f>
        <v>652.5</v>
      </c>
      <c r="E111" s="93">
        <f>D111/D110*100</f>
        <v>44.74694829241531</v>
      </c>
      <c r="F111" s="93">
        <f t="shared" si="16"/>
        <v>56.24030339596621</v>
      </c>
      <c r="G111" s="93">
        <f t="shared" si="13"/>
        <v>27.977874967841526</v>
      </c>
      <c r="H111" s="91">
        <f t="shared" si="14"/>
        <v>507.70000000000005</v>
      </c>
      <c r="I111" s="91">
        <f t="shared" si="15"/>
        <v>1679.6999999999998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50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50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2975.3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0.9730324900371277</v>
      </c>
      <c r="F116" s="86">
        <f t="shared" si="16"/>
        <v>78.06943837596208</v>
      </c>
      <c r="G116" s="86">
        <f t="shared" si="13"/>
        <v>40.150729447555825</v>
      </c>
      <c r="H116" s="87">
        <f t="shared" si="14"/>
        <v>652.5000000000005</v>
      </c>
      <c r="I116" s="87">
        <f t="shared" si="15"/>
        <v>3462.4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556.7</v>
      </c>
      <c r="C121" s="94">
        <v>1024.8</v>
      </c>
      <c r="D121" s="85">
        <f>80.5+0.2+38.8+80.5+0.8+10+10.3+80.5+16.8+0.3+4+80.5+10+10+0.3+0.8+80.5+1.1</f>
        <v>505.9000000000001</v>
      </c>
      <c r="E121" s="86">
        <f>D121/D109*100</f>
        <v>0.21192402992499698</v>
      </c>
      <c r="F121" s="86">
        <f t="shared" si="16"/>
        <v>90.87479791629245</v>
      </c>
      <c r="G121" s="86">
        <f t="shared" si="13"/>
        <v>49.3657298985168</v>
      </c>
      <c r="H121" s="87">
        <f t="shared" si="14"/>
        <v>50.799999999999955</v>
      </c>
      <c r="I121" s="87">
        <f t="shared" si="15"/>
        <v>518.8999999999999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80.5+80.5+80.5+80.5+0.1+80.5</f>
        <v>402.6</v>
      </c>
      <c r="E122" s="93">
        <f>D122/D121*100</f>
        <v>79.58094485076101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3">
        <v>155</v>
      </c>
      <c r="C123" s="94">
        <v>347</v>
      </c>
      <c r="D123" s="85">
        <f>34.5+13.8</f>
        <v>48.3</v>
      </c>
      <c r="E123" s="86">
        <f>D123/D109*100</f>
        <v>0.020233110585841773</v>
      </c>
      <c r="F123" s="86">
        <f t="shared" si="16"/>
        <v>31.161290322580644</v>
      </c>
      <c r="G123" s="86">
        <f t="shared" si="13"/>
        <v>13.919308357348703</v>
      </c>
      <c r="H123" s="87">
        <f t="shared" si="14"/>
        <v>106.7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98</v>
      </c>
      <c r="C124" s="94">
        <f>86+920</f>
        <v>1006</v>
      </c>
      <c r="D124" s="95">
        <f>54.4+15.9</f>
        <v>70.3</v>
      </c>
      <c r="E124" s="96">
        <f>D124/D109*100</f>
        <v>0.029449020169455</v>
      </c>
      <c r="F124" s="86">
        <f t="shared" si="16"/>
        <v>71.73469387755101</v>
      </c>
      <c r="G124" s="86">
        <f t="shared" si="13"/>
        <v>6.98807157057654</v>
      </c>
      <c r="H124" s="87">
        <f t="shared" si="14"/>
        <v>27.700000000000003</v>
      </c>
      <c r="I124" s="87">
        <f t="shared" si="15"/>
        <v>935.7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v>10752.3</v>
      </c>
      <c r="C127" s="94">
        <f>6156.2+17413.5-8000</f>
        <v>15569.7</v>
      </c>
      <c r="D127" s="95">
        <f>871.9+408.1+585.9+900.5+901.8+879.7+893+994.8+887.7+852.4+0.1+789.7+988.1</f>
        <v>9953.7</v>
      </c>
      <c r="E127" s="96">
        <f>D127/D109*100</f>
        <v>4.169654510109591</v>
      </c>
      <c r="F127" s="86">
        <f t="shared" si="16"/>
        <v>92.57275187634275</v>
      </c>
      <c r="G127" s="86">
        <f t="shared" si="13"/>
        <v>63.92994084664445</v>
      </c>
      <c r="H127" s="87">
        <f t="shared" si="14"/>
        <v>798.5999999999985</v>
      </c>
      <c r="I127" s="87">
        <f t="shared" si="15"/>
        <v>5616</v>
      </c>
      <c r="K127" s="88">
        <f>H110+H113+H116+H121+H123+H129+H130+H132+H134+H138+H139+H141+H150+H70</f>
        <v>3206.665380000001</v>
      </c>
    </row>
    <row r="128" spans="1:9" s="97" customFormat="1" ht="18.75">
      <c r="A128" s="152" t="s">
        <v>89</v>
      </c>
      <c r="B128" s="153"/>
      <c r="C128" s="94">
        <v>150</v>
      </c>
      <c r="D128" s="95"/>
      <c r="E128" s="96">
        <f>D128/D109*100</f>
        <v>0</v>
      </c>
      <c r="F128" s="86" t="e">
        <f t="shared" si="16"/>
        <v>#DIV/0!</v>
      </c>
      <c r="G128" s="86">
        <f t="shared" si="13"/>
        <v>0</v>
      </c>
      <c r="H128" s="87">
        <f t="shared" si="14"/>
        <v>0</v>
      </c>
      <c r="I128" s="87">
        <f t="shared" si="15"/>
        <v>150</v>
      </c>
    </row>
    <row r="129" spans="1:13" s="97" customFormat="1" ht="37.5">
      <c r="A129" s="152" t="s">
        <v>98</v>
      </c>
      <c r="B129" s="153">
        <v>440</v>
      </c>
      <c r="C129" s="94">
        <v>483</v>
      </c>
      <c r="D129" s="95">
        <v>2.2</v>
      </c>
      <c r="E129" s="96">
        <f>D129/D109*100</f>
        <v>0.0009215909583613232</v>
      </c>
      <c r="F129" s="86">
        <f t="shared" si="16"/>
        <v>0.5</v>
      </c>
      <c r="G129" s="86">
        <f t="shared" si="13"/>
        <v>0.45548654244306425</v>
      </c>
      <c r="H129" s="87">
        <f t="shared" si="14"/>
        <v>437.8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124.3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124.3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342.3</v>
      </c>
      <c r="C132" s="94">
        <v>1003.9</v>
      </c>
      <c r="D132" s="95">
        <f>7.7+12.9+7.7+2.8+0.3+0.9+48+9.2+16+18.7+7+7.7+1.3+0.4+12+8.8+4.3+4.6+2.7+28.5+7.2</f>
        <v>208.70000000000002</v>
      </c>
      <c r="E132" s="96">
        <f>D132/D109*100</f>
        <v>0.0874254695500037</v>
      </c>
      <c r="F132" s="86">
        <f t="shared" si="16"/>
        <v>60.9699094361671</v>
      </c>
      <c r="G132" s="86">
        <f t="shared" si="13"/>
        <v>20.788923199521868</v>
      </c>
      <c r="H132" s="87">
        <f t="shared" si="14"/>
        <v>133.6</v>
      </c>
      <c r="I132" s="87">
        <f t="shared" si="15"/>
        <v>795.1999999999999</v>
      </c>
      <c r="M132" s="88"/>
    </row>
    <row r="133" spans="1:13" s="98" customFormat="1" ht="18">
      <c r="A133" s="89" t="s">
        <v>86</v>
      </c>
      <c r="B133" s="90">
        <v>167.5</v>
      </c>
      <c r="C133" s="91">
        <v>553.3</v>
      </c>
      <c r="D133" s="92">
        <f>7.7+48+7.7+7.7+7.7+7.7</f>
        <v>86.50000000000001</v>
      </c>
      <c r="E133" s="93">
        <f>D133/D132*100</f>
        <v>41.447053186391955</v>
      </c>
      <c r="F133" s="93">
        <f>D133/B133*100</f>
        <v>51.64179104477613</v>
      </c>
      <c r="G133" s="93">
        <f t="shared" si="13"/>
        <v>15.633471895897348</v>
      </c>
      <c r="H133" s="91">
        <f t="shared" si="14"/>
        <v>80.99999999999999</v>
      </c>
      <c r="I133" s="91">
        <f t="shared" si="15"/>
        <v>466.79999999999995</v>
      </c>
      <c r="M133" s="128"/>
    </row>
    <row r="134" spans="1:9" s="97" customFormat="1" ht="37.5">
      <c r="A134" s="152" t="s">
        <v>101</v>
      </c>
      <c r="B134" s="153">
        <v>50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50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954.6</v>
      </c>
      <c r="C138" s="94">
        <v>2964.5</v>
      </c>
      <c r="D138" s="95">
        <f>203+174+113.5+76.2+55.5+17.2+64.2</f>
        <v>703.6000000000001</v>
      </c>
      <c r="E138" s="96">
        <f>D138/D109*100</f>
        <v>0.2947415446831941</v>
      </c>
      <c r="F138" s="86">
        <f t="shared" si="16"/>
        <v>73.70626440393883</v>
      </c>
      <c r="G138" s="86">
        <f t="shared" si="13"/>
        <v>23.73418789003205</v>
      </c>
      <c r="H138" s="87">
        <f t="shared" si="14"/>
        <v>250.9999999999999</v>
      </c>
      <c r="I138" s="87">
        <f t="shared" si="15"/>
        <v>2260.8999999999996</v>
      </c>
    </row>
    <row r="139" spans="1:9" s="97" customFormat="1" ht="39" customHeight="1">
      <c r="A139" s="152" t="s">
        <v>52</v>
      </c>
      <c r="B139" s="153">
        <v>150</v>
      </c>
      <c r="C139" s="94">
        <v>350</v>
      </c>
      <c r="D139" s="95">
        <f>30+1.3+13+17.4</f>
        <v>61.699999999999996</v>
      </c>
      <c r="E139" s="96">
        <f>D139/D109*100</f>
        <v>0.025846437332224376</v>
      </c>
      <c r="F139" s="86">
        <f t="shared" si="16"/>
        <v>41.13333333333333</v>
      </c>
      <c r="G139" s="86">
        <f t="shared" si="13"/>
        <v>17.628571428571426</v>
      </c>
      <c r="H139" s="87">
        <f t="shared" si="14"/>
        <v>88.30000000000001</v>
      </c>
      <c r="I139" s="87">
        <f t="shared" si="15"/>
        <v>288.3</v>
      </c>
    </row>
    <row r="140" spans="1:9" s="98" customFormat="1" ht="18">
      <c r="A140" s="89" t="s">
        <v>86</v>
      </c>
      <c r="B140" s="90">
        <v>50</v>
      </c>
      <c r="C140" s="91">
        <v>110</v>
      </c>
      <c r="D140" s="92">
        <f>1.3+0.4</f>
        <v>1.7000000000000002</v>
      </c>
      <c r="E140" s="93"/>
      <c r="F140" s="86">
        <f>D140/B140*100</f>
        <v>3.4000000000000004</v>
      </c>
      <c r="G140" s="93">
        <f>D140/C140*100</f>
        <v>1.5454545454545456</v>
      </c>
      <c r="H140" s="91">
        <f>B140-D140</f>
        <v>48.3</v>
      </c>
      <c r="I140" s="91">
        <f>C140-D140</f>
        <v>108.3</v>
      </c>
    </row>
    <row r="141" spans="1:9" s="97" customFormat="1" ht="32.25" customHeight="1">
      <c r="A141" s="152" t="s">
        <v>82</v>
      </c>
      <c r="B141" s="153">
        <v>331.9</v>
      </c>
      <c r="C141" s="94">
        <v>642.9</v>
      </c>
      <c r="D141" s="95">
        <f>3.4+29.8+0.5+0.6+0.5+7+95+1+3.4+1.6+21.9+0.5+0.2+14.5+1.1+4.5+5.3+14.7+1.23462</f>
        <v>206.73462</v>
      </c>
      <c r="E141" s="96">
        <f>D141/D109*100</f>
        <v>0.08660216207830179</v>
      </c>
      <c r="F141" s="86">
        <f>D141/B141*100</f>
        <v>62.28822536908708</v>
      </c>
      <c r="G141" s="86">
        <f>D141/C141*100</f>
        <v>32.156574895007</v>
      </c>
      <c r="H141" s="87">
        <f t="shared" si="14"/>
        <v>125.16537999999997</v>
      </c>
      <c r="I141" s="87">
        <f t="shared" si="15"/>
        <v>436.16537999999997</v>
      </c>
    </row>
    <row r="142" spans="1:9" s="98" customFormat="1" ht="18">
      <c r="A142" s="89" t="s">
        <v>23</v>
      </c>
      <c r="B142" s="90">
        <v>271.9</v>
      </c>
      <c r="C142" s="91">
        <v>524.9</v>
      </c>
      <c r="D142" s="92">
        <f>0.4+29.8+0.5+0.6+95+0.7+18.5+0.5+14.5+1.1+4.5+14.8+1.2</f>
        <v>182.1</v>
      </c>
      <c r="E142" s="93">
        <f>D142/D141*100</f>
        <v>88.08394065783466</v>
      </c>
      <c r="F142" s="93">
        <f t="shared" si="16"/>
        <v>66.97315189407871</v>
      </c>
      <c r="G142" s="93">
        <f>D142/C142*100</f>
        <v>34.69232234711374</v>
      </c>
      <c r="H142" s="91">
        <f t="shared" si="14"/>
        <v>89.79999999999998</v>
      </c>
      <c r="I142" s="91">
        <f t="shared" si="15"/>
        <v>342.79999999999995</v>
      </c>
    </row>
    <row r="143" spans="1:9" s="97" customFormat="1" ht="18.75">
      <c r="A143" s="152" t="s">
        <v>94</v>
      </c>
      <c r="B143" s="153">
        <v>1151.6</v>
      </c>
      <c r="C143" s="94">
        <v>2262.8</v>
      </c>
      <c r="D143" s="95">
        <f>33.6+100.1+61.4+1.9+88.9+76.4+140.9+13.9+60.1+109.3+18.6+51.1+12+15.7+91.6+92.9</f>
        <v>968.4</v>
      </c>
      <c r="E143" s="96">
        <f>D143/D109*100</f>
        <v>0.4056675836714115</v>
      </c>
      <c r="F143" s="86">
        <f t="shared" si="16"/>
        <v>84.09169850642584</v>
      </c>
      <c r="G143" s="86">
        <f t="shared" si="13"/>
        <v>42.79653526604207</v>
      </c>
      <c r="H143" s="87">
        <f t="shared" si="14"/>
        <v>183.19999999999993</v>
      </c>
      <c r="I143" s="87">
        <f t="shared" si="15"/>
        <v>1294.4</v>
      </c>
    </row>
    <row r="144" spans="1:9" s="98" customFormat="1" ht="18">
      <c r="A144" s="154" t="s">
        <v>41</v>
      </c>
      <c r="B144" s="90">
        <v>886.5</v>
      </c>
      <c r="C144" s="91">
        <v>1867.4</v>
      </c>
      <c r="D144" s="92">
        <f>33.6+99.1+51.9+81.4+59+82.2+5.6+57.6+68.8+16.1-2.2+47.6+70.6+83.7</f>
        <v>755.0000000000001</v>
      </c>
      <c r="E144" s="93">
        <f>D144/D143*100</f>
        <v>77.96365138372575</v>
      </c>
      <c r="F144" s="93">
        <f t="shared" si="16"/>
        <v>85.16638465877045</v>
      </c>
      <c r="G144" s="93">
        <f t="shared" si="13"/>
        <v>40.43054514297955</v>
      </c>
      <c r="H144" s="91">
        <f t="shared" si="14"/>
        <v>131.4999999999999</v>
      </c>
      <c r="I144" s="91">
        <f t="shared" si="15"/>
        <v>1112.4</v>
      </c>
    </row>
    <row r="145" spans="1:9" s="98" customFormat="1" ht="18">
      <c r="A145" s="89" t="s">
        <v>23</v>
      </c>
      <c r="B145" s="90">
        <v>28.5</v>
      </c>
      <c r="C145" s="91">
        <v>48</v>
      </c>
      <c r="D145" s="92">
        <f>9.3+7.4+6+0.1+2.5+0.1+0.1+1</f>
        <v>26.500000000000007</v>
      </c>
      <c r="E145" s="93">
        <f>D145/D143*100</f>
        <v>2.7364725320115664</v>
      </c>
      <c r="F145" s="93">
        <f t="shared" si="16"/>
        <v>92.9824561403509</v>
      </c>
      <c r="G145" s="93">
        <f>D145/C145*100</f>
        <v>55.20833333333335</v>
      </c>
      <c r="H145" s="91">
        <f t="shared" si="14"/>
        <v>1.999999999999993</v>
      </c>
      <c r="I145" s="91">
        <f t="shared" si="15"/>
        <v>21.499999999999993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0.23584350434428403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90084.8+960</f>
        <v>91044.8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</f>
        <v>86293.1</v>
      </c>
      <c r="E148" s="96">
        <f>D148/D109*100</f>
        <v>36.14860942225886</v>
      </c>
      <c r="F148" s="86">
        <f t="shared" si="16"/>
        <v>94.7809210410699</v>
      </c>
      <c r="G148" s="86">
        <f t="shared" si="13"/>
        <v>58.13081354616886</v>
      </c>
      <c r="H148" s="87">
        <f t="shared" si="14"/>
        <v>4751.699999999997</v>
      </c>
      <c r="I148" s="87">
        <f t="shared" si="15"/>
        <v>62153.29999999999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26</v>
      </c>
      <c r="C150" s="94">
        <v>50</v>
      </c>
      <c r="D150" s="95">
        <f>1+0.7+0.3+0.3+0.3</f>
        <v>2.5999999999999996</v>
      </c>
      <c r="E150" s="96">
        <f>D150/D111*100</f>
        <v>0.3984674329501915</v>
      </c>
      <c r="F150" s="86">
        <f>D150/B150*100</f>
        <v>10</v>
      </c>
      <c r="G150" s="86">
        <f>D150/C150*100</f>
        <v>5.199999999999999</v>
      </c>
      <c r="H150" s="87">
        <f>B150-D150</f>
        <v>23.4</v>
      </c>
      <c r="I150" s="87">
        <f>C150-D150</f>
        <v>47.4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0.023165445453355072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f>7064.7-200</f>
        <v>6864.7</v>
      </c>
      <c r="C152" s="94">
        <f>509.5+13731.5</f>
        <v>14241</v>
      </c>
      <c r="D152" s="95">
        <f>469.6+898.6+871.8+55+430.7+600.4+36+430.7-0.1+542+60.6+1510.5+423.8</f>
        <v>6329.6</v>
      </c>
      <c r="E152" s="96">
        <f>D152/D109*100</f>
        <v>2.651500968201741</v>
      </c>
      <c r="F152" s="86">
        <f t="shared" si="16"/>
        <v>92.20504901889377</v>
      </c>
      <c r="G152" s="86">
        <f t="shared" si="13"/>
        <v>44.446316972122744</v>
      </c>
      <c r="H152" s="87">
        <f t="shared" si="14"/>
        <v>535.0999999999995</v>
      </c>
      <c r="I152" s="87">
        <f t="shared" si="15"/>
        <v>7911.4</v>
      </c>
    </row>
    <row r="153" spans="1:9" s="97" customFormat="1" ht="19.5" customHeight="1">
      <c r="A153" s="152" t="s">
        <v>48</v>
      </c>
      <c r="B153" s="153">
        <f>91843.9+6554+376.8</f>
        <v>98774.7</v>
      </c>
      <c r="C153" s="94">
        <f>365455.9+155.1+4856-2795.8+8042.5</f>
        <v>375713.7</v>
      </c>
      <c r="D153" s="95">
        <f>9702+30405.7+10266.3+91.6-29196.2+1482.1+9293.3+20631.5+2864.5+2072.8+10611.8+26.4-6447.8-3782.8-4677.3+4676.1-2746.7-2356.3-5820.8+6091.9+14434.9+3293.3-2161.9+2161.9+253+3208.6+2572.08517+1407.2+10069.6+3344.4+11.7+6615+376.8</f>
        <v>98774.68516999998</v>
      </c>
      <c r="E153" s="96">
        <f>D153/D109*100</f>
        <v>41.37720762166283</v>
      </c>
      <c r="F153" s="86">
        <f t="shared" si="16"/>
        <v>99.99998498603387</v>
      </c>
      <c r="G153" s="86">
        <f t="shared" si="13"/>
        <v>26.28988114354094</v>
      </c>
      <c r="H153" s="87">
        <f t="shared" si="14"/>
        <v>0.014830000014626421</v>
      </c>
      <c r="I153" s="87">
        <f>C153-D153</f>
        <v>276939.01483</v>
      </c>
    </row>
    <row r="154" spans="1:9" s="97" customFormat="1" ht="18.75">
      <c r="A154" s="152" t="s">
        <v>97</v>
      </c>
      <c r="B154" s="153">
        <v>33962.4</v>
      </c>
      <c r="C154" s="94">
        <v>67925</v>
      </c>
      <c r="D154" s="95">
        <f>1886.8+1886.8+1886.8+1886.8+1886.8+1886.8+1886.8+1886.8+1886.8+1886.8+1886.8+1886.8+1886.8+1886.8+1886.8+1886.8</f>
        <v>30188.799999999992</v>
      </c>
      <c r="E154" s="96">
        <f>D154/D109*100</f>
        <v>12.646238692626499</v>
      </c>
      <c r="F154" s="86">
        <f t="shared" si="16"/>
        <v>88.88888888888886</v>
      </c>
      <c r="G154" s="86">
        <f t="shared" si="13"/>
        <v>44.444313581155676</v>
      </c>
      <c r="H154" s="87">
        <f t="shared" si="14"/>
        <v>3773.6000000000095</v>
      </c>
      <c r="I154" s="87">
        <f t="shared" si="15"/>
        <v>37736.20000000001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267174.61978999997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1257682.5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1086471.1567899995</v>
      </c>
      <c r="E156" s="25">
        <v>100</v>
      </c>
      <c r="F156" s="3">
        <f>D156/B156*100</f>
        <v>86.38675951919498</v>
      </c>
      <c r="G156" s="3">
        <f aca="true" t="shared" si="17" ref="G156:G162">D156/C156*100</f>
        <v>43.3205238389821</v>
      </c>
      <c r="H156" s="36">
        <f>B156-D156</f>
        <v>171211.34321000054</v>
      </c>
      <c r="I156" s="36">
        <f aca="true" t="shared" si="18" ref="I156:I162">C156-D156</f>
        <v>1421511.343210001</v>
      </c>
      <c r="K156" s="136">
        <f>D156-114199.9-202905.8-214631.3-204053.8-222765.5</f>
        <v>127914.85678999947</v>
      </c>
    </row>
    <row r="157" spans="1:9" ht="18.75">
      <c r="A157" s="15" t="s">
        <v>5</v>
      </c>
      <c r="B157" s="47">
        <f>B8+B20+B34+B53+B61+B93+B117+B122+B47+B144+B135+B105</f>
        <v>566907.2</v>
      </c>
      <c r="C157" s="47">
        <f>C8+C20+C34+C53+C61+C93+C117+C122+C47+C144+C135+C105</f>
        <v>988150.6</v>
      </c>
      <c r="D157" s="47">
        <f>D8+D20+D34+D53+D61+D93+D117+D122+D47+D144+D135+D105</f>
        <v>487665.60000000003</v>
      </c>
      <c r="E157" s="6">
        <f>D157/D156*100</f>
        <v>44.88527808145572</v>
      </c>
      <c r="F157" s="6">
        <f aca="true" t="shared" si="19" ref="F157:F162">D157/B157*100</f>
        <v>86.02212143363148</v>
      </c>
      <c r="G157" s="6">
        <f t="shared" si="17"/>
        <v>49.3513438133823</v>
      </c>
      <c r="H157" s="48">
        <f aca="true" t="shared" si="20" ref="H157:H162">B157-D157</f>
        <v>79241.59999999992</v>
      </c>
      <c r="I157" s="58">
        <f t="shared" si="18"/>
        <v>500484.99999999994</v>
      </c>
    </row>
    <row r="158" spans="1:9" ht="18.75">
      <c r="A158" s="15" t="s">
        <v>0</v>
      </c>
      <c r="B158" s="87">
        <f>B11+B23+B36+B56+B63+B94+B50+B145+B111+B114+B98+B142+B131</f>
        <v>72080.6</v>
      </c>
      <c r="C158" s="87">
        <f>C11+C23+C36+C56+C63+C94+C50+C145+C111+C114+C98+C142+C131</f>
        <v>125217.3</v>
      </c>
      <c r="D158" s="87">
        <f>D11+D23+D36+D56+D63+D94+D50+D145+D111+D114+D98+D142+D131</f>
        <v>60027.399999999965</v>
      </c>
      <c r="E158" s="6">
        <f>D158/D156*100</f>
        <v>5.524987904635417</v>
      </c>
      <c r="F158" s="6">
        <f t="shared" si="19"/>
        <v>83.27816361129064</v>
      </c>
      <c r="G158" s="6">
        <f t="shared" si="17"/>
        <v>47.93858356632826</v>
      </c>
      <c r="H158" s="48">
        <f>B158-D158</f>
        <v>12053.20000000004</v>
      </c>
      <c r="I158" s="58">
        <f t="shared" si="18"/>
        <v>65189.90000000004</v>
      </c>
    </row>
    <row r="159" spans="1:9" ht="18.75">
      <c r="A159" s="15" t="s">
        <v>1</v>
      </c>
      <c r="B159" s="142">
        <f>B22+B10+B55+B49+B62+B35+B126</f>
        <v>28982.6</v>
      </c>
      <c r="C159" s="142">
        <f>C22+C10+C55+C49+C62+C35+C126</f>
        <v>48135.3</v>
      </c>
      <c r="D159" s="142">
        <f>D22+D10+D55+D49+D62+D35+D126</f>
        <v>25240.5</v>
      </c>
      <c r="E159" s="6">
        <f>D159/D156*100</f>
        <v>2.3231633755076904</v>
      </c>
      <c r="F159" s="6">
        <f t="shared" si="19"/>
        <v>87.08845997253525</v>
      </c>
      <c r="G159" s="6">
        <f t="shared" si="17"/>
        <v>52.43656941994752</v>
      </c>
      <c r="H159" s="48">
        <f t="shared" si="20"/>
        <v>3742.0999999999985</v>
      </c>
      <c r="I159" s="58">
        <f t="shared" si="18"/>
        <v>22894.800000000003</v>
      </c>
    </row>
    <row r="160" spans="1:9" ht="21" customHeight="1">
      <c r="A160" s="15" t="s">
        <v>12</v>
      </c>
      <c r="B160" s="142">
        <f>B12+B24+B106+B64+B38+B95+B133+B57+B140+B120+B44+B73</f>
        <v>42800.99999999999</v>
      </c>
      <c r="C160" s="142">
        <f>C12+C24+C106+C64+C38+C95+C133+C57+C140+C120+C44+C73</f>
        <v>87651.80000000002</v>
      </c>
      <c r="D160" s="142">
        <f>D12+D24+D106+D64+D38+D95+D133+D57+D140+D120+D44+D73</f>
        <v>32683.90000000001</v>
      </c>
      <c r="E160" s="6">
        <f>D160/D156*100</f>
        <v>3.008262096581122</v>
      </c>
      <c r="F160" s="6">
        <f>D160/B160*100</f>
        <v>76.36246816663166</v>
      </c>
      <c r="G160" s="6">
        <f t="shared" si="17"/>
        <v>37.28833863080963</v>
      </c>
      <c r="H160" s="48">
        <f>B160-D160</f>
        <v>10117.099999999984</v>
      </c>
      <c r="I160" s="58">
        <f t="shared" si="18"/>
        <v>54967.90000000001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37.099999999999994</v>
      </c>
      <c r="E161" s="6">
        <f>D161/D156*100</f>
        <v>0.0034147247967090703</v>
      </c>
      <c r="F161" s="6">
        <f t="shared" si="19"/>
        <v>70.53231939163497</v>
      </c>
      <c r="G161" s="6">
        <f t="shared" si="17"/>
        <v>30.187144019528066</v>
      </c>
      <c r="H161" s="48">
        <f t="shared" si="20"/>
        <v>15.500000000000007</v>
      </c>
      <c r="I161" s="58">
        <f t="shared" si="18"/>
        <v>85.80000000000001</v>
      </c>
    </row>
    <row r="162" spans="1:9" ht="19.5" thickBot="1">
      <c r="A162" s="80" t="s">
        <v>25</v>
      </c>
      <c r="B162" s="60">
        <f>B156-B157-B158-B159-B160-B161</f>
        <v>546858.5000000001</v>
      </c>
      <c r="C162" s="60">
        <f>C156-C157-C158-C159-C160-C161</f>
        <v>1258704.6000000003</v>
      </c>
      <c r="D162" s="60">
        <f>D156-D157-D158-D159-D160-D161</f>
        <v>480816.65678999946</v>
      </c>
      <c r="E162" s="28">
        <f>D162/D156*100</f>
        <v>44.254893817023344</v>
      </c>
      <c r="F162" s="28">
        <f t="shared" si="19"/>
        <v>87.92341287371401</v>
      </c>
      <c r="G162" s="28">
        <f t="shared" si="17"/>
        <v>38.19932466998209</v>
      </c>
      <c r="H162" s="81">
        <f t="shared" si="20"/>
        <v>66041.84321000066</v>
      </c>
      <c r="I162" s="81">
        <f t="shared" si="18"/>
        <v>777887.9432100009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1086471.1567899995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1086471.1567899995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2019-06-18T11:50:43Z</cp:lastPrinted>
  <dcterms:created xsi:type="dcterms:W3CDTF">2000-06-20T04:48:00Z</dcterms:created>
  <dcterms:modified xsi:type="dcterms:W3CDTF">2019-06-18T12:14:29Z</dcterms:modified>
  <cp:category/>
  <cp:version/>
  <cp:contentType/>
  <cp:contentStatus/>
</cp:coreProperties>
</file>